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<sst xmlns="http://schemas.openxmlformats.org/spreadsheetml/2006/main" count="1423" uniqueCount="258">
  <si>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</si>
  <si>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</si>
  <si>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</si>
  <si>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</si>
  <si>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</si>
  <si>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</si>
  <si>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</si>
  <si>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</si>
  <si>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</si>
  <si>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</si>
  <si>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</si>
  <si>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</si>
  <si>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</si>
  <si>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</si>
  <si>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</si>
  <si>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</si>
  <si>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</si>
  <si>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</si>
  <si>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</si>
  <si>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</si>
  <si>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</si>
  <si>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</si>
  <si>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</si>
  <si>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</si>
  <si>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</si>
  <si>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</si>
  <si>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</si>
  <si>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</si>
  <si>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</si>
  <si>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</si>
  <si>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</si>
  <si>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</si>
  <si>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</si>
  <si>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</si>
  <si>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</si>
  <si>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</si>
  <si>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</si>
  <si>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</si>
  <si>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</si>
  <si>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</si>
  <si>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</si>
  <si>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</si>
  <si>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</si>
  <si>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</si>
  <si>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</si>
  <si>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</si>
  <si>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</si>
  <si>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</si>
  <si>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</si>
  <si>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</si>
  <si>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</si>
  <si>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</si>
  <si>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</si>
  <si>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</si>
  <si>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</si>
  <si>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</si>
  <si>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</si>
  <si>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</si>
  <si>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</si>
  <si>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</si>
  <si>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</si>
  <si>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</si>
  <si>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</si>
  <si>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</si>
  <si>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</si>
  <si>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</si>
  <si>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</si>
  <si>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</si>
  <si>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</si>
  <si>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</si>
  <si>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</si>
  <si>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</si>
  <si>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</si>
  <si>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</si>
  <si>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</si>
  <si>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</si>
  <si>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</si>
  <si>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</si>
  <si>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</si>
  <si>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</si>
  <si>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</si>
  <si>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</si>
  <si>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</si>
  <si>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</si>
  <si>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</si>
  <si>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</si>
  <si>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</si>
  <si>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</si>
  <si>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</si>
  <si>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</si>
  <si>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</si>
  <si>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</si>
  <si>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</si>
  <si>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</si>
  <si>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</si>
  <si>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</si>
  <si>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</si>
  <si>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</si>
  <si>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</si>
  <si>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</si>
  <si>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</si>
  <si>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</si>
  <si>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</si>
  <si>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</si>
  <si>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</si>
  <si>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</si>
  <si>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</si>
  <si>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</si>
  <si>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</si>
  <si>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</si>
  <si>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</si>
  <si>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</si>
  <si>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</si>
  <si>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</si>
  <si>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</si>
  <si>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</si>
  <si>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</si>
  <si>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</si>
  <si>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</si>
  <si>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</si>
  <si>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</si>
  <si>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</si>
  <si>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</si>
  <si>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</si>
  <si>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</si>
  <si>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</si>
  <si>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</si>
  <si>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</si>
  <si>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</si>
  <si>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</si>
  <si>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</si>
  <si>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</si>
  <si>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</si>
  <si>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</si>
  <si>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</si>
  <si>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</si>
  <si>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</si>
  <si>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</si>
  <si>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</si>
  <si>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</si>
  <si>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</si>
  <si>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</si>
  <si>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</si>
  <si>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</si>
  <si>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</si>
  <si>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</si>
  <si>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</si>
  <si>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</si>
  <si>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</si>
  <si>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</si>
  <si>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</si>
  <si>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</si>
  <si>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</si>
  <si>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</si>
  <si>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</si>
  <si>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</si>
  <si>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</si>
  <si>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</si>
  <si>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</si>
  <si>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</si>
  <si>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</si>
  <si>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</si>
  <si>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</si>
  <si>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</si>
  <si>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</si>
  <si>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</si>
  <si>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</si>
  <si>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</si>
  <si>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</si>
  <si>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</si>
  <si>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</si>
  <si>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</si>
  <si>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</si>
  <si>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</si>
  <si>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</si>
  <si>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</si>
  <si>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</si>
  <si>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</si>
  <si>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</si>
  <si>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</si>
  <si>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</si>
  <si>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</si>
  <si>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</si>
  <si>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</si>
  <si>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</si>
  <si>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</si>
  <si>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</si>
  <si>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</si>
  <si>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</si>
  <si>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</si>
  <si>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</si>
  <si>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</si>
  <si>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</si>
  <si>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</si>
  <si>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</si>
  <si>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</si>
  <si>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</si>
  <si>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</si>
  <si>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</si>
  <si>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</si>
  <si>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</si>
  <si>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</si>
  <si>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</si>
  <si>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</si>
  <si>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</si>
  <si>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</si>
  <si>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</si>
  <si>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</si>
  <si>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</si>
  <si>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</si>
  <si>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</si>
  <si>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</si>
  <si>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</si>
  <si>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</si>
  <si>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</si>
  <si>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</si>
  <si>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</si>
  <si>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</si>
  <si>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</si>
  <si>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</si>
  <si>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</si>
  <si>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</si>
  <si>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</si>
  <si>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</si>
  <si>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</si>
  <si>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</si>
  <si>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</si>
  <si>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</si>
  <si>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</si>
  <si>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</si>
  <si>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</si>
  <si>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</si>
  <si>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</si>
  <si>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</si>
  <si>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</si>
  <si>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</si>
  <si>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</si>
  <si>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</si>
  <si>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</si>
  <si>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</si>
  <si>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</si>
  <si>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</si>
  <si>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</si>
  <si>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</si>
  <si>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</si>
  <si>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</si>
  <si>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</si>
  <si>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</si>
  <si>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</si>
  <si>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</si>
  <si>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</si>
  <si>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</si>
  <si>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</si>
  <si>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</si>
  <si>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</si>
  <si>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04.07.14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</si>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</sst>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36434314.379999995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0" sqref="F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5" t="s">
        <v>256</v>
      </c>
      <c r="L4" s="166"/>
      <c r="M4" s="204"/>
      <c r="N4" s="183" t="s">
        <v>255</v>
      </c>
      <c r="O4" s="185" t="s">
        <v>136</v>
      </c>
      <c r="P4" s="185" t="s">
        <v>135</v>
      </c>
      <c r="Q4" s="165" t="s">
        <v>257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231017.46000000002</v>
      </c>
      <c r="G8" s="22">
        <f aca="true" t="shared" si="0" ref="G8:G30">F8-E8</f>
        <v>-40217.24999999994</v>
      </c>
      <c r="H8" s="51">
        <f>F8/E8*100</f>
        <v>85.17252825053255</v>
      </c>
      <c r="I8" s="36">
        <f aca="true" t="shared" si="1" ref="I8:I17">F8-D8</f>
        <v>-257458.83999999997</v>
      </c>
      <c r="J8" s="36">
        <f aca="true" t="shared" si="2" ref="J8:J14">F8/D8*100</f>
        <v>47.293483839441144</v>
      </c>
      <c r="K8" s="36">
        <f>F8-267884.5</f>
        <v>-36867.03999999998</v>
      </c>
      <c r="L8" s="136">
        <f>F8/267884.5</f>
        <v>0.8623771065515177</v>
      </c>
      <c r="M8" s="22">
        <f>M10+M19+M33+M56+M68+M30</f>
        <v>37968.180000000015</v>
      </c>
      <c r="N8" s="22">
        <f>N10+N19+N33+N56+N68+N30</f>
        <v>4598.440000000002</v>
      </c>
      <c r="O8" s="36">
        <f aca="true" t="shared" si="3" ref="O8:O71">N8-M8</f>
        <v>-33369.74000000001</v>
      </c>
      <c r="P8" s="36">
        <f>F8/M8*100</f>
        <v>608.4501811780283</v>
      </c>
      <c r="Q8" s="36">
        <f>N8-39945.7</f>
        <v>-35347.259999999995</v>
      </c>
      <c r="R8" s="134">
        <f>N8/39945.7</f>
        <v>0.11511727169632784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187083.79</v>
      </c>
      <c r="G9" s="22">
        <f t="shared" si="0"/>
        <v>187083.79</v>
      </c>
      <c r="H9" s="20"/>
      <c r="I9" s="56">
        <f t="shared" si="1"/>
        <v>-199929.41</v>
      </c>
      <c r="J9" s="56">
        <f t="shared" si="2"/>
        <v>48.34041577910004</v>
      </c>
      <c r="K9" s="56"/>
      <c r="L9" s="135"/>
      <c r="M9" s="20">
        <f>M10+M17</f>
        <v>30824.800000000017</v>
      </c>
      <c r="N9" s="20">
        <f>N10+N17</f>
        <v>4085.6600000000035</v>
      </c>
      <c r="O9" s="36">
        <f t="shared" si="3"/>
        <v>-26739.140000000014</v>
      </c>
      <c r="P9" s="56">
        <f>F9/M9*100</f>
        <v>606.9262087669665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187083.79</v>
      </c>
      <c r="G10" s="49">
        <f t="shared" si="0"/>
        <v>-34287.31</v>
      </c>
      <c r="H10" s="40">
        <f aca="true" t="shared" si="4" ref="H10:H17">F10/E10*100</f>
        <v>84.51138834292281</v>
      </c>
      <c r="I10" s="56">
        <f t="shared" si="1"/>
        <v>-199929.41</v>
      </c>
      <c r="J10" s="56">
        <f t="shared" si="2"/>
        <v>48.34041577910004</v>
      </c>
      <c r="K10" s="141">
        <f>F10-211325.8</f>
        <v>-24242.00999999998</v>
      </c>
      <c r="L10" s="142">
        <f>F10/211325.8</f>
        <v>0.885286084330451</v>
      </c>
      <c r="M10" s="40">
        <f>E10-червень!E10</f>
        <v>30824.800000000017</v>
      </c>
      <c r="N10" s="40">
        <f>F10-червень!F10</f>
        <v>4085.6600000000035</v>
      </c>
      <c r="O10" s="53">
        <f t="shared" si="3"/>
        <v>-26739.140000000014</v>
      </c>
      <c r="P10" s="56">
        <f aca="true" t="shared" si="5" ref="P10:P17">N10/M10*100</f>
        <v>13.254457449845583</v>
      </c>
      <c r="Q10" s="141">
        <f>N10-32192.1</f>
        <v>-28106.439999999995</v>
      </c>
      <c r="R10" s="142">
        <f>N10/32192.1</f>
        <v>0.12691498845990176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317.87</v>
      </c>
      <c r="G19" s="49">
        <f t="shared" si="0"/>
        <v>-715.7299999999999</v>
      </c>
      <c r="H19" s="40">
        <f aca="true" t="shared" si="6" ref="H19:H29">F19/E19*100</f>
        <v>30.753676470588236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F19-6042.8</f>
        <v>-5724.93</v>
      </c>
      <c r="L19" s="135">
        <f>F19/6042.8</f>
        <v>0.052603097901635004</v>
      </c>
      <c r="M19" s="40">
        <f>E19-червень!E19</f>
        <v>10.999999999999886</v>
      </c>
      <c r="N19" s="40">
        <f>F19-червень!F19</f>
        <v>0</v>
      </c>
      <c r="O19" s="53">
        <f t="shared" si="3"/>
        <v>-10.999999999999886</v>
      </c>
      <c r="P19" s="56">
        <f aca="true" t="shared" si="9" ref="P19:P29">N19/M19*100</f>
        <v>0</v>
      </c>
      <c r="Q19" s="56">
        <f>N19-422.4</f>
        <v>-422.4</v>
      </c>
      <c r="R19" s="135">
        <f>N19/422.4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828.15</v>
      </c>
      <c r="G29" s="49">
        <f t="shared" si="0"/>
        <v>94.54999999999995</v>
      </c>
      <c r="H29" s="40">
        <f t="shared" si="6"/>
        <v>112.88849509269356</v>
      </c>
      <c r="I29" s="56">
        <f t="shared" si="7"/>
        <v>-101.85000000000002</v>
      </c>
      <c r="J29" s="56">
        <f t="shared" si="8"/>
        <v>89.04838709677419</v>
      </c>
      <c r="K29" s="148">
        <f>F29-2423.68</f>
        <v>-1595.5299999999997</v>
      </c>
      <c r="L29" s="149">
        <f>F29/2423.68</f>
        <v>0.34169114734618433</v>
      </c>
      <c r="M29" s="40">
        <f>E29-червень!E29</f>
        <v>-29</v>
      </c>
      <c r="N29" s="40">
        <f>F29-червень!F29</f>
        <v>-0.7200000000000273</v>
      </c>
      <c r="O29" s="148">
        <f t="shared" si="3"/>
        <v>28.279999999999973</v>
      </c>
      <c r="P29" s="145">
        <f t="shared" si="9"/>
        <v>2.482758620689749</v>
      </c>
      <c r="Q29" s="148">
        <f>N29-422.37</f>
        <v>-423.09000000000003</v>
      </c>
      <c r="R29" s="149">
        <f>N29/422.37</f>
        <v>-0.0017046665246111875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40275.02</v>
      </c>
      <c r="G33" s="49">
        <f aca="true" t="shared" si="14" ref="G33:G72">F33-E33</f>
        <v>-4586.090000000004</v>
      </c>
      <c r="H33" s="40">
        <f aca="true" t="shared" si="15" ref="H33:H67">F33/E33*100</f>
        <v>89.7771365889074</v>
      </c>
      <c r="I33" s="56">
        <f>F33-D33</f>
        <v>-53290.98</v>
      </c>
      <c r="J33" s="56">
        <f aca="true" t="shared" si="16" ref="J33:J72">F33/D33*100</f>
        <v>43.044503345232236</v>
      </c>
      <c r="K33" s="141">
        <f>F33-46836.9</f>
        <v>-6561.880000000005</v>
      </c>
      <c r="L33" s="142">
        <f>F33/46836.9</f>
        <v>0.8598993528606718</v>
      </c>
      <c r="M33" s="40">
        <f>E33-червень!E33</f>
        <v>6579.879999999997</v>
      </c>
      <c r="N33" s="40">
        <f>F33-червень!F33</f>
        <v>441.9599999999991</v>
      </c>
      <c r="O33" s="53">
        <f t="shared" si="3"/>
        <v>-6137.919999999998</v>
      </c>
      <c r="P33" s="56">
        <f aca="true" t="shared" si="17" ref="P33:P67">N33/M33*100</f>
        <v>6.716839820786995</v>
      </c>
      <c r="Q33" s="141">
        <f>N33-6866.9</f>
        <v>-6424.9400000000005</v>
      </c>
      <c r="R33" s="142">
        <f>N33/6866.9</f>
        <v>0.06436091977457065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30110.74</v>
      </c>
      <c r="G55" s="144">
        <f t="shared" si="14"/>
        <v>-3000.069999999996</v>
      </c>
      <c r="H55" s="146">
        <f t="shared" si="15"/>
        <v>90.93930350843125</v>
      </c>
      <c r="I55" s="145">
        <f t="shared" si="18"/>
        <v>-40155.259999999995</v>
      </c>
      <c r="J55" s="145">
        <f t="shared" si="16"/>
        <v>42.85250334443401</v>
      </c>
      <c r="K55" s="148">
        <f>F55-33694.14</f>
        <v>-3583.399999999998</v>
      </c>
      <c r="L55" s="149">
        <f>F55/33694.14</f>
        <v>0.8936491627327483</v>
      </c>
      <c r="M55" s="40">
        <f>E55-червень!E55</f>
        <v>4779.879999999997</v>
      </c>
      <c r="N55" s="40">
        <f>F55-червень!F55</f>
        <v>344.15000000000146</v>
      </c>
      <c r="O55" s="148">
        <f t="shared" si="3"/>
        <v>-4435.729999999996</v>
      </c>
      <c r="P55" s="148">
        <f t="shared" si="17"/>
        <v>7.199971547402898</v>
      </c>
      <c r="Q55" s="163">
        <f>N55-4878.99</f>
        <v>-4534.839999999998</v>
      </c>
      <c r="R55" s="164">
        <f>N55/4878.99</f>
        <v>0.07053713985886453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0.36+3336.53</f>
        <v>3336.8900000000003</v>
      </c>
      <c r="G56" s="49">
        <f t="shared" si="14"/>
        <v>-613.4099999999999</v>
      </c>
      <c r="H56" s="40">
        <f t="shared" si="15"/>
        <v>84.47181226742273</v>
      </c>
      <c r="I56" s="56">
        <f t="shared" si="18"/>
        <v>-3523.1099999999997</v>
      </c>
      <c r="J56" s="56">
        <f t="shared" si="16"/>
        <v>48.6427113702624</v>
      </c>
      <c r="K56" s="56">
        <f>F56-3653.5</f>
        <v>-316.6099999999997</v>
      </c>
      <c r="L56" s="135">
        <f>F56/3653.5</f>
        <v>0.9133406322704257</v>
      </c>
      <c r="M56" s="40">
        <f>E56-червень!E56</f>
        <v>552</v>
      </c>
      <c r="N56" s="40">
        <f>F56-червень!F56</f>
        <v>70.82000000000016</v>
      </c>
      <c r="O56" s="53">
        <f t="shared" si="3"/>
        <v>-481.17999999999984</v>
      </c>
      <c r="P56" s="56">
        <f t="shared" si="17"/>
        <v>12.829710144927567</v>
      </c>
      <c r="Q56" s="56">
        <f>N56-464.2</f>
        <v>-393.3799999999998</v>
      </c>
      <c r="R56" s="135">
        <f>N56/464.2</f>
        <v>0.1525635501938823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6998.23</v>
      </c>
      <c r="G74" s="50">
        <f aca="true" t="shared" si="24" ref="G74:G92">F74-E74</f>
        <v>-1980.7700000000004</v>
      </c>
      <c r="H74" s="51">
        <f aca="true" t="shared" si="25" ref="H74:H87">F74/E74*100</f>
        <v>77.93997104354605</v>
      </c>
      <c r="I74" s="36">
        <f aca="true" t="shared" si="26" ref="I74:I92">F74-D74</f>
        <v>-11360.07</v>
      </c>
      <c r="J74" s="36">
        <f aca="true" t="shared" si="27" ref="J74:J92">F74/D74*100</f>
        <v>38.120250785748134</v>
      </c>
      <c r="K74" s="36">
        <f>F74-11260</f>
        <v>-4261.77</v>
      </c>
      <c r="L74" s="136">
        <f>F74/11260</f>
        <v>0.6215124333925399</v>
      </c>
      <c r="M74" s="22">
        <f>M77+M86+M88+M89+M94+M95+M96+M97+M99+M87+M104</f>
        <v>1550.5</v>
      </c>
      <c r="N74" s="22">
        <f>N77+N86+N88+N89+N94+N95+N96+N97+N99+N32+N104+N87+N103</f>
        <v>656.6500000000003</v>
      </c>
      <c r="O74" s="55">
        <f aca="true" t="shared" si="28" ref="O74:O92">N74-M74</f>
        <v>-893.8499999999997</v>
      </c>
      <c r="P74" s="36">
        <f>N74/M74*100</f>
        <v>42.3508545630442</v>
      </c>
      <c r="Q74" s="36">
        <f>N74-2110.7</f>
        <v>-1454.0499999999995</v>
      </c>
      <c r="R74" s="136">
        <f>N74/2110.7</f>
        <v>0.3111053205097837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61.77</v>
      </c>
      <c r="G89" s="49">
        <f t="shared" si="24"/>
        <v>-37.23</v>
      </c>
      <c r="H89" s="40">
        <f>F89/E89*100</f>
        <v>62.393939393939405</v>
      </c>
      <c r="I89" s="56">
        <f t="shared" si="26"/>
        <v>-113.22999999999999</v>
      </c>
      <c r="J89" s="56">
        <f t="shared" si="27"/>
        <v>35.29714285714286</v>
      </c>
      <c r="K89" s="56">
        <f>F89-94</f>
        <v>-32.23</v>
      </c>
      <c r="L89" s="135">
        <f>F89/94</f>
        <v>0.6571276595744682</v>
      </c>
      <c r="M89" s="40">
        <f>E89-червень!E89</f>
        <v>15</v>
      </c>
      <c r="N89" s="40">
        <f>F89-червень!F89</f>
        <v>0</v>
      </c>
      <c r="O89" s="53">
        <f t="shared" si="28"/>
        <v>-15</v>
      </c>
      <c r="P89" s="56">
        <f>N89/M89*100</f>
        <v>0</v>
      </c>
      <c r="Q89" s="56">
        <f>N89-12.8</f>
        <v>-12.8</v>
      </c>
      <c r="R89" s="135">
        <f>N89/12.8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427.36</v>
      </c>
      <c r="G96" s="49">
        <f t="shared" si="31"/>
        <v>-177.14</v>
      </c>
      <c r="H96" s="40">
        <f>F96/E96*100</f>
        <v>70.69644334160463</v>
      </c>
      <c r="I96" s="56">
        <f t="shared" si="32"/>
        <v>-772.64</v>
      </c>
      <c r="J96" s="56">
        <f>F96/D96*100</f>
        <v>35.61333333333334</v>
      </c>
      <c r="K96" s="56">
        <f>F96-602.5</f>
        <v>-175.14</v>
      </c>
      <c r="L96" s="135">
        <f>F96/602.5</f>
        <v>0.7093112033195021</v>
      </c>
      <c r="M96" s="40">
        <f>E96-червень!E96</f>
        <v>130</v>
      </c>
      <c r="N96" s="40">
        <f>F96-червень!F96</f>
        <v>12.03000000000003</v>
      </c>
      <c r="O96" s="53">
        <f t="shared" si="33"/>
        <v>-117.96999999999997</v>
      </c>
      <c r="P96" s="56">
        <f>N96/M96*100</f>
        <v>9.253846153846176</v>
      </c>
      <c r="Q96" s="56">
        <f>N96-139.4</f>
        <v>-127.36999999999998</v>
      </c>
      <c r="R96" s="135">
        <f>N96/139.4</f>
        <v>0.0862984218077477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F97-40.3</f>
        <v>-40.07</v>
      </c>
      <c r="L97" s="135">
        <f>F97/40.3</f>
        <v>0.005707196029776675</v>
      </c>
      <c r="M97" s="40">
        <f>E97-червень!E97</f>
        <v>0</v>
      </c>
      <c r="N97" s="40">
        <f>F97-червень!F97</f>
        <v>0</v>
      </c>
      <c r="O97" s="53">
        <f t="shared" si="33"/>
        <v>0</v>
      </c>
      <c r="P97" s="56"/>
      <c r="Q97" s="56">
        <f>N97-24.1</f>
        <v>-24.1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2022.26</v>
      </c>
      <c r="G99" s="49">
        <f t="shared" si="31"/>
        <v>-164.74</v>
      </c>
      <c r="H99" s="40">
        <f>F99/E99*100</f>
        <v>92.46730681298583</v>
      </c>
      <c r="I99" s="56">
        <f t="shared" si="32"/>
        <v>-2550.4399999999996</v>
      </c>
      <c r="J99" s="56">
        <f>F99/D99*100</f>
        <v>44.224637522689</v>
      </c>
      <c r="K99" s="56">
        <f>F99-2623.7</f>
        <v>-601.4399999999998</v>
      </c>
      <c r="L99" s="135">
        <f>F99/2623.7</f>
        <v>0.770766474825628</v>
      </c>
      <c r="M99" s="40">
        <f>E99-червень!E99</f>
        <v>350</v>
      </c>
      <c r="N99" s="40">
        <f>F99-червень!F99</f>
        <v>52.98000000000002</v>
      </c>
      <c r="O99" s="53">
        <f t="shared" si="33"/>
        <v>-297.02</v>
      </c>
      <c r="P99" s="56">
        <f>N99/M99*100</f>
        <v>15.137142857142862</v>
      </c>
      <c r="Q99" s="56">
        <f>N99-632</f>
        <v>-579.02</v>
      </c>
      <c r="R99" s="135">
        <f>N99/632</f>
        <v>0.08382911392405067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381</v>
      </c>
      <c r="G102" s="144"/>
      <c r="H102" s="146"/>
      <c r="I102" s="145"/>
      <c r="J102" s="145"/>
      <c r="K102" s="148">
        <f>F102-325</f>
        <v>56</v>
      </c>
      <c r="L102" s="149">
        <f>F102/325</f>
        <v>1.1723076923076923</v>
      </c>
      <c r="M102" s="40">
        <f>E102-червень!E102</f>
        <v>0</v>
      </c>
      <c r="N102" s="40">
        <f>F102-червень!F102</f>
        <v>17.69999999999999</v>
      </c>
      <c r="O102" s="53"/>
      <c r="P102" s="60"/>
      <c r="Q102" s="60">
        <f>N102-80.2</f>
        <v>-62.500000000000014</v>
      </c>
      <c r="R102" s="138">
        <f>N102/80.2</f>
        <v>0.22069825436408963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13.91</v>
      </c>
      <c r="G105" s="49">
        <f>F105-E105</f>
        <v>-4.289999999999999</v>
      </c>
      <c r="H105" s="40">
        <f>F105/E105*100</f>
        <v>76.42857142857143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E105-червень!E105</f>
        <v>3</v>
      </c>
      <c r="N105" s="40">
        <f>F105-червень!F105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238029.68000000002</v>
      </c>
      <c r="G107" s="50">
        <f>F107-E107</f>
        <v>-42202.22999999995</v>
      </c>
      <c r="H107" s="51">
        <f>F107/E107*100</f>
        <v>84.94024823939573</v>
      </c>
      <c r="I107" s="36">
        <f t="shared" si="34"/>
        <v>-268849.9199999999</v>
      </c>
      <c r="J107" s="36">
        <f t="shared" si="36"/>
        <v>46.959806628635285</v>
      </c>
      <c r="K107" s="36">
        <f>F107-279160.4</f>
        <v>-41130.72</v>
      </c>
      <c r="L107" s="136">
        <f>F107/279160.4</f>
        <v>0.8526627702209912</v>
      </c>
      <c r="M107" s="22">
        <f>M8+M74+M105+M106</f>
        <v>39521.680000000015</v>
      </c>
      <c r="N107" s="22">
        <f>N8+N74+N105+N106</f>
        <v>5255.090000000003</v>
      </c>
      <c r="O107" s="55">
        <f t="shared" si="35"/>
        <v>-34266.59000000001</v>
      </c>
      <c r="P107" s="36">
        <f>N107/M107*100</f>
        <v>13.296727264630453</v>
      </c>
      <c r="Q107" s="36">
        <f>N107-42056.4</f>
        <v>-36801.31</v>
      </c>
      <c r="R107" s="136">
        <f>N107/42056.4</f>
        <v>0.12495339591596054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187511.15</v>
      </c>
      <c r="G108" s="71">
        <f>G10-G18+G96</f>
        <v>-34464.45</v>
      </c>
      <c r="H108" s="72">
        <f>F108/E108*100</f>
        <v>84.4737664860462</v>
      </c>
      <c r="I108" s="52">
        <f t="shared" si="34"/>
        <v>-200702.05000000002</v>
      </c>
      <c r="J108" s="52">
        <f t="shared" si="36"/>
        <v>48.30107528543594</v>
      </c>
      <c r="K108" s="52">
        <f>F108-212017.3</f>
        <v>-24506.149999999994</v>
      </c>
      <c r="L108" s="137">
        <f>F108/212017.3</f>
        <v>0.8844143850525406</v>
      </c>
      <c r="M108" s="71">
        <f>M10-M18+M96</f>
        <v>30954.800000000017</v>
      </c>
      <c r="N108" s="71">
        <f>N10-N18+N96</f>
        <v>4097.690000000003</v>
      </c>
      <c r="O108" s="53">
        <f t="shared" si="35"/>
        <v>-26857.110000000015</v>
      </c>
      <c r="P108" s="52">
        <f>N108/M108*100</f>
        <v>13.237656195485034</v>
      </c>
      <c r="Q108" s="52">
        <f>N108-32331.5</f>
        <v>-28233.809999999998</v>
      </c>
      <c r="R108" s="137">
        <f>N108/32331.5</f>
        <v>0.1267398666934724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50518.53000000003</v>
      </c>
      <c r="G109" s="62">
        <f>F109-E109</f>
        <v>-7737.779999999941</v>
      </c>
      <c r="H109" s="72">
        <f>F109/E109*100</f>
        <v>86.71769633195109</v>
      </c>
      <c r="I109" s="52">
        <f t="shared" si="34"/>
        <v>-68147.86999999994</v>
      </c>
      <c r="J109" s="52">
        <f t="shared" si="36"/>
        <v>42.571890610990174</v>
      </c>
      <c r="K109" s="52">
        <f>F109-67143.1</f>
        <v>-16624.569999999978</v>
      </c>
      <c r="L109" s="137">
        <f>F109/67143.1</f>
        <v>0.7524009168477479</v>
      </c>
      <c r="M109" s="71">
        <f>M107-M108</f>
        <v>8566.879999999997</v>
      </c>
      <c r="N109" s="71">
        <f>N107-N108</f>
        <v>1157.3999999999996</v>
      </c>
      <c r="O109" s="53">
        <f t="shared" si="35"/>
        <v>-7409.479999999998</v>
      </c>
      <c r="P109" s="52">
        <f>N109/M109*100</f>
        <v>13.510169396559773</v>
      </c>
      <c r="Q109" s="52">
        <f>N109-9724.9</f>
        <v>-8567.5</v>
      </c>
      <c r="R109" s="137">
        <f>N109/9924.9</f>
        <v>0.11661578454190971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187511.15</v>
      </c>
      <c r="G110" s="111">
        <f>F110-E110</f>
        <v>-29094.550000000017</v>
      </c>
      <c r="H110" s="72">
        <f>F110/E110*100</f>
        <v>86.5679665862902</v>
      </c>
      <c r="I110" s="81">
        <f t="shared" si="34"/>
        <v>-200702.05000000002</v>
      </c>
      <c r="J110" s="52">
        <f t="shared" si="36"/>
        <v>48.30107528543594</v>
      </c>
      <c r="K110" s="52"/>
      <c r="L110" s="137"/>
      <c r="M110" s="72">
        <f>E110-травень!E109</f>
        <v>65489.30000000002</v>
      </c>
      <c r="N110" s="71">
        <f>N108</f>
        <v>4097.690000000003</v>
      </c>
      <c r="O110" s="118">
        <f t="shared" si="35"/>
        <v>-61391.610000000015</v>
      </c>
      <c r="P110" s="52">
        <f>N110/M110*100</f>
        <v>6.257037409164553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628.78</v>
      </c>
      <c r="G115" s="49">
        <f t="shared" si="37"/>
        <v>-1395.82</v>
      </c>
      <c r="H115" s="40">
        <f aca="true" t="shared" si="39" ref="H115:H126">F115/E115*100</f>
        <v>31.056998913365604</v>
      </c>
      <c r="I115" s="60">
        <f t="shared" si="38"/>
        <v>-3042.7200000000003</v>
      </c>
      <c r="J115" s="60">
        <f aca="true" t="shared" si="40" ref="J115:J121">F115/D115*100</f>
        <v>17.125970311861636</v>
      </c>
      <c r="K115" s="60">
        <f>F115-2198.8</f>
        <v>-1570.0200000000002</v>
      </c>
      <c r="L115" s="138">
        <f>F115/2198.8</f>
        <v>0.28596507185737674</v>
      </c>
      <c r="M115" s="40">
        <f>E115-червень!E115</f>
        <v>327.5</v>
      </c>
      <c r="N115" s="40">
        <f>F115-червень!F115</f>
        <v>22.699999999999932</v>
      </c>
      <c r="O115" s="53">
        <f aca="true" t="shared" si="41" ref="O115:O126">N115-M115</f>
        <v>-304.80000000000007</v>
      </c>
      <c r="P115" s="60">
        <f>N115/M115*100</f>
        <v>6.931297709923643</v>
      </c>
      <c r="Q115" s="60">
        <f>N115-307.3</f>
        <v>-284.6000000000001</v>
      </c>
      <c r="R115" s="138">
        <f>N115/307.3</f>
        <v>0.07386918320859073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169.7</v>
      </c>
      <c r="G116" s="49">
        <f t="shared" si="37"/>
        <v>13.199999999999989</v>
      </c>
      <c r="H116" s="40">
        <f t="shared" si="39"/>
        <v>108.43450479233225</v>
      </c>
      <c r="I116" s="60">
        <f t="shared" si="38"/>
        <v>-98.40000000000003</v>
      </c>
      <c r="J116" s="60">
        <f t="shared" si="40"/>
        <v>63.29727713539724</v>
      </c>
      <c r="K116" s="60">
        <f>F116-153.8</f>
        <v>15.899999999999977</v>
      </c>
      <c r="L116" s="138">
        <f>F116/153.8</f>
        <v>1.103381014304291</v>
      </c>
      <c r="M116" s="40">
        <f>E116-червень!E116</f>
        <v>22</v>
      </c>
      <c r="N116" s="40">
        <f>F116-червень!F116</f>
        <v>4.489999999999981</v>
      </c>
      <c r="O116" s="53">
        <f t="shared" si="41"/>
        <v>-17.51000000000002</v>
      </c>
      <c r="P116" s="60">
        <f>N116/M116*100</f>
        <v>20.40909090909082</v>
      </c>
      <c r="Q116" s="60">
        <f>N116-22.6</f>
        <v>-18.11000000000002</v>
      </c>
      <c r="R116" s="138">
        <f>N116/22.6</f>
        <v>0.19867256637168054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797.3399999999999</v>
      </c>
      <c r="G117" s="62">
        <f t="shared" si="37"/>
        <v>-1383.76</v>
      </c>
      <c r="H117" s="72">
        <f t="shared" si="39"/>
        <v>36.55678327449452</v>
      </c>
      <c r="I117" s="61">
        <f t="shared" si="38"/>
        <v>-3142.26</v>
      </c>
      <c r="J117" s="61">
        <f t="shared" si="40"/>
        <v>20.239110569600975</v>
      </c>
      <c r="K117" s="61">
        <f>F117-2366</f>
        <v>-1568.66</v>
      </c>
      <c r="L117" s="139">
        <f>F117/2366</f>
        <v>0.33699915469146235</v>
      </c>
      <c r="M117" s="62">
        <f>M115+M116+M114</f>
        <v>349.5</v>
      </c>
      <c r="N117" s="38">
        <f>SUM(N114:N116)</f>
        <v>27.189999999999912</v>
      </c>
      <c r="O117" s="61">
        <f t="shared" si="41"/>
        <v>-322.31000000000006</v>
      </c>
      <c r="P117" s="61">
        <f>N117/M117*100</f>
        <v>7.7796852646637795</v>
      </c>
      <c r="Q117" s="61">
        <f>N117-335.5</f>
        <v>-308.31000000000006</v>
      </c>
      <c r="R117" s="139">
        <f>N117/335.5</f>
        <v>0.0810432190760057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141.26</v>
      </c>
      <c r="G119" s="49">
        <f t="shared" si="37"/>
        <v>-41.24000000000001</v>
      </c>
      <c r="H119" s="40">
        <f t="shared" si="39"/>
        <v>77.40273972602739</v>
      </c>
      <c r="I119" s="60">
        <f t="shared" si="38"/>
        <v>-125.94</v>
      </c>
      <c r="J119" s="60">
        <f t="shared" si="40"/>
        <v>52.866766467065865</v>
      </c>
      <c r="K119" s="60">
        <f>F119-172.6</f>
        <v>-31.340000000000003</v>
      </c>
      <c r="L119" s="138">
        <f>F119/172.6</f>
        <v>0.8184241019698725</v>
      </c>
      <c r="M119" s="40">
        <f>E119-червень!E119</f>
        <v>73</v>
      </c>
      <c r="N119" s="40">
        <f>F119-червень!F119</f>
        <v>2.9799999999999898</v>
      </c>
      <c r="O119" s="53">
        <f>N119-M119</f>
        <v>-70.02000000000001</v>
      </c>
      <c r="P119" s="60">
        <f>N119/M119*100</f>
        <v>4.082191780821904</v>
      </c>
      <c r="Q119" s="60">
        <f>N119-76.8</f>
        <v>-73.82000000000001</v>
      </c>
      <c r="R119" s="138">
        <f>N119/76.8</f>
        <v>0.0388020833333332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39022.91</v>
      </c>
      <c r="G120" s="49">
        <f t="shared" si="37"/>
        <v>-2289.689999999995</v>
      </c>
      <c r="H120" s="40">
        <f t="shared" si="39"/>
        <v>94.45764730372818</v>
      </c>
      <c r="I120" s="53">
        <f t="shared" si="38"/>
        <v>-32953.08</v>
      </c>
      <c r="J120" s="60">
        <f t="shared" si="40"/>
        <v>54.216565829799634</v>
      </c>
      <c r="K120" s="60">
        <f>F120-39659.2</f>
        <v>-636.2899999999936</v>
      </c>
      <c r="L120" s="138">
        <f>F120/39659.2</f>
        <v>0.9839560555936582</v>
      </c>
      <c r="M120" s="40">
        <f>E120-червень!E120</f>
        <v>7100</v>
      </c>
      <c r="N120" s="40">
        <f>F120-червень!F120</f>
        <v>969.2000000000044</v>
      </c>
      <c r="O120" s="53">
        <f t="shared" si="41"/>
        <v>-6130.799999999996</v>
      </c>
      <c r="P120" s="60">
        <f aca="true" t="shared" si="42" ref="P120:P125">N120/M120*100</f>
        <v>13.650704225352175</v>
      </c>
      <c r="Q120" s="60">
        <v>7148.5</v>
      </c>
      <c r="R120" s="138">
        <f>N120/7148.5</f>
        <v>0.13558089109603474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1658.95</v>
      </c>
      <c r="G121" s="49">
        <f t="shared" si="37"/>
        <v>-24.049999999999955</v>
      </c>
      <c r="H121" s="40">
        <f t="shared" si="39"/>
        <v>98.57100415923946</v>
      </c>
      <c r="I121" s="60">
        <f t="shared" si="38"/>
        <v>-8341.05</v>
      </c>
      <c r="J121" s="60">
        <f t="shared" si="40"/>
        <v>16.5895</v>
      </c>
      <c r="K121" s="60">
        <f>F121-1120.9</f>
        <v>538.05</v>
      </c>
      <c r="L121" s="138">
        <f>F121/1120.9</f>
        <v>1.4800160585244</v>
      </c>
      <c r="M121" s="40">
        <f>E121-червень!E121</f>
        <v>16</v>
      </c>
      <c r="N121" s="40">
        <f>F121-червень!F121</f>
        <v>0.009999999999990905</v>
      </c>
      <c r="O121" s="53">
        <f t="shared" si="41"/>
        <v>-15.990000000000009</v>
      </c>
      <c r="P121" s="60">
        <f t="shared" si="42"/>
        <v>0.06249999999994316</v>
      </c>
      <c r="Q121" s="60">
        <f>N121-496.3</f>
        <v>-496.29</v>
      </c>
      <c r="R121" s="138">
        <f>N121/496.3</f>
        <v>2.0149103364881937E-05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2135.58</v>
      </c>
      <c r="G122" s="49">
        <f t="shared" si="37"/>
        <v>-5096.92</v>
      </c>
      <c r="H122" s="40">
        <f t="shared" si="39"/>
        <v>29.527549256826823</v>
      </c>
      <c r="I122" s="60">
        <f t="shared" si="38"/>
        <v>-20942.42</v>
      </c>
      <c r="J122" s="60">
        <f>F122/D122*100</f>
        <v>9.253748158419274</v>
      </c>
      <c r="K122" s="60">
        <f>F122-14177.3</f>
        <v>-12041.72</v>
      </c>
      <c r="L122" s="138">
        <f>F122/14177.3</f>
        <v>0.15063375960161668</v>
      </c>
      <c r="M122" s="40">
        <f>E122-червень!E122</f>
        <v>2409.8999999999996</v>
      </c>
      <c r="N122" s="40">
        <f>F122-червень!F122</f>
        <v>18.449999999999818</v>
      </c>
      <c r="O122" s="53">
        <f t="shared" si="41"/>
        <v>-2391.45</v>
      </c>
      <c r="P122" s="60">
        <f t="shared" si="42"/>
        <v>0.7655919332752322</v>
      </c>
      <c r="Q122" s="60">
        <f>N122-329.4</f>
        <v>-310.95000000000016</v>
      </c>
      <c r="R122" s="138">
        <f>N122/329.4</f>
        <v>0.056010928961748085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730.81</v>
      </c>
      <c r="G123" s="49">
        <f t="shared" si="37"/>
        <v>-321.23</v>
      </c>
      <c r="H123" s="40">
        <f t="shared" si="39"/>
        <v>69.46598988631611</v>
      </c>
      <c r="I123" s="60">
        <f t="shared" si="38"/>
        <v>-1269.19</v>
      </c>
      <c r="J123" s="60">
        <f>F123/D123*100</f>
        <v>36.540499999999994</v>
      </c>
      <c r="K123" s="60">
        <f>F123-1349.4</f>
        <v>-618.5900000000001</v>
      </c>
      <c r="L123" s="138">
        <f>F123/1349.4</f>
        <v>0.541581443604565</v>
      </c>
      <c r="M123" s="40">
        <f>E123-червень!E123</f>
        <v>189.58999999999992</v>
      </c>
      <c r="N123" s="40">
        <f>F123-червень!F123</f>
        <v>2.5</v>
      </c>
      <c r="O123" s="53">
        <f t="shared" si="41"/>
        <v>-187.08999999999992</v>
      </c>
      <c r="P123" s="60">
        <f t="shared" si="42"/>
        <v>1.3186349491006917</v>
      </c>
      <c r="Q123" s="60">
        <f>N123-149.4</f>
        <v>-146.9</v>
      </c>
      <c r="R123" s="138">
        <f>N123/149.4</f>
        <v>0.01673360107095047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43689.51</v>
      </c>
      <c r="G124" s="62">
        <f t="shared" si="37"/>
        <v>-7773.129999999997</v>
      </c>
      <c r="H124" s="72">
        <f t="shared" si="39"/>
        <v>84.8955863904378</v>
      </c>
      <c r="I124" s="61">
        <f t="shared" si="38"/>
        <v>-63631.68</v>
      </c>
      <c r="J124" s="61">
        <f>F124/D124*100</f>
        <v>40.70911811544393</v>
      </c>
      <c r="K124" s="61">
        <f>F124-56479.4</f>
        <v>-12789.89</v>
      </c>
      <c r="L124" s="139">
        <f>F124/56479.4</f>
        <v>0.7735477005775557</v>
      </c>
      <c r="M124" s="62">
        <f>M120+M121+M122+M123+M119</f>
        <v>9788.49</v>
      </c>
      <c r="N124" s="62">
        <f>N120+N121+N122+N123+N119</f>
        <v>993.1400000000042</v>
      </c>
      <c r="O124" s="61">
        <f t="shared" si="41"/>
        <v>-8795.349999999995</v>
      </c>
      <c r="P124" s="61">
        <f t="shared" si="42"/>
        <v>10.14599800377795</v>
      </c>
      <c r="Q124" s="61">
        <f>N124-8200.3</f>
        <v>-7207.159999999995</v>
      </c>
      <c r="R124" s="139">
        <f>N124/8200.3</f>
        <v>0.12111020328524619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5295.58</v>
      </c>
      <c r="G128" s="49">
        <f aca="true" t="shared" si="43" ref="G128:G135">F128-E128</f>
        <v>280.0799999999999</v>
      </c>
      <c r="H128" s="40">
        <f>F128/E128*100</f>
        <v>105.58428870501446</v>
      </c>
      <c r="I128" s="60">
        <f aca="true" t="shared" si="44" ref="I128:I135">F128-D128</f>
        <v>-3404.42</v>
      </c>
      <c r="J128" s="60">
        <f>F128/D128*100</f>
        <v>60.86873563218391</v>
      </c>
      <c r="K128" s="60">
        <f>F128-6320.8</f>
        <v>-1025.2200000000003</v>
      </c>
      <c r="L128" s="138">
        <f>F128/6320.8</f>
        <v>0.8378021769396279</v>
      </c>
      <c r="M128" s="40">
        <f>E128-червень!E128</f>
        <v>3</v>
      </c>
      <c r="N128" s="40">
        <f>F128-червень!F128</f>
        <v>0.019999999999527063</v>
      </c>
      <c r="O128" s="53">
        <f aca="true" t="shared" si="45" ref="O128:O135">N128-M128</f>
        <v>-2.980000000000473</v>
      </c>
      <c r="P128" s="60">
        <f>N128/M128*100</f>
        <v>0.666666666650902</v>
      </c>
      <c r="Q128" s="60">
        <f>N128-19.4</f>
        <v>-19.38000000000047</v>
      </c>
      <c r="R128" s="162">
        <f>N128/19.4</f>
        <v>0.0010309278350271683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0.29</v>
      </c>
      <c r="G129" s="49">
        <f t="shared" si="43"/>
        <v>0.29</v>
      </c>
      <c r="H129" s="40"/>
      <c r="I129" s="60">
        <f t="shared" si="44"/>
        <v>0.29</v>
      </c>
      <c r="J129" s="60"/>
      <c r="K129" s="60">
        <f>F129-(-0.1)</f>
        <v>0.39</v>
      </c>
      <c r="L129" s="138">
        <f>F129/(-0.1)</f>
        <v>-2.8999999999999995</v>
      </c>
      <c r="M129" s="40">
        <f>E129-червень!E129</f>
        <v>0</v>
      </c>
      <c r="N129" s="40">
        <f>F129-червень!F129</f>
        <v>0.02999999999999997</v>
      </c>
      <c r="O129" s="53">
        <f t="shared" si="45"/>
        <v>0.02999999999999997</v>
      </c>
      <c r="P129" s="60"/>
      <c r="Q129" s="60">
        <f>N129-0.3</f>
        <v>-0.27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5327.8</v>
      </c>
      <c r="G130" s="62">
        <f t="shared" si="43"/>
        <v>285.9400000000005</v>
      </c>
      <c r="H130" s="72">
        <f>F130/E130*100</f>
        <v>105.67131971137638</v>
      </c>
      <c r="I130" s="61">
        <f t="shared" si="44"/>
        <v>-3422.9000000000005</v>
      </c>
      <c r="J130" s="61">
        <f>F130/D130*100</f>
        <v>60.884272115373626</v>
      </c>
      <c r="K130" s="61">
        <f>F130-6438.4</f>
        <v>-1110.5999999999995</v>
      </c>
      <c r="L130" s="139">
        <f>G130/6438.4</f>
        <v>0.044411655069582584</v>
      </c>
      <c r="M130" s="62">
        <f>M125+M128+M129+M127</f>
        <v>5</v>
      </c>
      <c r="N130" s="62">
        <f>N125+N128+N129+N127</f>
        <v>0.049999999999527034</v>
      </c>
      <c r="O130" s="61">
        <f t="shared" si="45"/>
        <v>-4.950000000000473</v>
      </c>
      <c r="P130" s="61">
        <f>N130/M130*100</f>
        <v>0.9999999999905408</v>
      </c>
      <c r="Q130" s="61">
        <f>N130-28.2</f>
        <v>-28.15000000000047</v>
      </c>
      <c r="R130" s="137">
        <f>N130/28.2</f>
        <v>0.0017730496453732991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21.12</v>
      </c>
      <c r="G131" s="49">
        <f>F131-E131</f>
        <v>5.07</v>
      </c>
      <c r="H131" s="40">
        <f>F131/E131*100</f>
        <v>131.588785046729</v>
      </c>
      <c r="I131" s="60">
        <f>F131-D131</f>
        <v>-8.879999999999999</v>
      </c>
      <c r="J131" s="60">
        <f>F131/D131*100</f>
        <v>70.4</v>
      </c>
      <c r="K131" s="60">
        <f>F131-17.3</f>
        <v>3.8200000000000003</v>
      </c>
      <c r="L131" s="138">
        <f>F131/17.3</f>
        <v>1.2208092485549134</v>
      </c>
      <c r="M131" s="40">
        <f>E131-червень!E131</f>
        <v>0.40000000000000036</v>
      </c>
      <c r="N131" s="40">
        <f>F131-червень!F131</f>
        <v>0</v>
      </c>
      <c r="O131" s="53">
        <f>N131-M131</f>
        <v>-0.40000000000000036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49835.770000000004</v>
      </c>
      <c r="G134" s="50">
        <f t="shared" si="43"/>
        <v>-8865.879999999997</v>
      </c>
      <c r="H134" s="51">
        <f>F134/E134*100</f>
        <v>84.89671073981737</v>
      </c>
      <c r="I134" s="36">
        <f t="shared" si="44"/>
        <v>-70205.72</v>
      </c>
      <c r="J134" s="36">
        <f>F134/D134*100</f>
        <v>41.515454364986645</v>
      </c>
      <c r="K134" s="36">
        <f>F134-65301.1</f>
        <v>-15465.329999999994</v>
      </c>
      <c r="L134" s="136">
        <f>F134/65301.1</f>
        <v>0.7631689205847988</v>
      </c>
      <c r="M134" s="31">
        <f>M117+M131+M124+M130+M133+M132</f>
        <v>10143.39</v>
      </c>
      <c r="N134" s="31">
        <f>N117+N131+N124+N130+N133+N132</f>
        <v>1020.3800000000036</v>
      </c>
      <c r="O134" s="36">
        <f t="shared" si="45"/>
        <v>-9123.009999999997</v>
      </c>
      <c r="P134" s="36">
        <f>N134/M134*100</f>
        <v>10.059556026141198</v>
      </c>
      <c r="Q134" s="36">
        <f>N134-8564.5</f>
        <v>-7544.119999999996</v>
      </c>
      <c r="R134" s="136">
        <f>N134/8564.5</f>
        <v>0.1191406386829358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287865.45</v>
      </c>
      <c r="G135" s="50">
        <f t="shared" si="43"/>
        <v>-51068.109999999986</v>
      </c>
      <c r="H135" s="51">
        <f>F135/E135*100</f>
        <v>84.93270775546688</v>
      </c>
      <c r="I135" s="36">
        <f t="shared" si="44"/>
        <v>-339055.63999999996</v>
      </c>
      <c r="J135" s="36">
        <f>F135/D135*100</f>
        <v>45.9173338705195</v>
      </c>
      <c r="K135" s="36">
        <f>F135-344461.4</f>
        <v>-56595.95000000001</v>
      </c>
      <c r="L135" s="136">
        <f>F135/344461.4</f>
        <v>0.8356972653539699</v>
      </c>
      <c r="M135" s="22">
        <f>M107+M134</f>
        <v>49665.070000000014</v>
      </c>
      <c r="N135" s="22">
        <f>N107+N134</f>
        <v>6275.470000000007</v>
      </c>
      <c r="O135" s="36">
        <f t="shared" si="45"/>
        <v>-43389.600000000006</v>
      </c>
      <c r="P135" s="36">
        <f>N135/M135*100</f>
        <v>12.635580700882945</v>
      </c>
      <c r="Q135" s="36">
        <f>N135-50620.9</f>
        <v>-44345.42999999999</v>
      </c>
      <c r="R135" s="136">
        <f>N135/50620.9</f>
        <v>0.12396994126931773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19</v>
      </c>
      <c r="D137" s="4" t="s">
        <v>118</v>
      </c>
    </row>
    <row r="138" spans="2:17" ht="31.5">
      <c r="B138" s="78" t="s">
        <v>154</v>
      </c>
      <c r="C138" s="39">
        <f>IF(O107&lt;0,ABS(O107/C137),0)</f>
        <v>1803.5047368421058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41824</v>
      </c>
      <c r="D139" s="39">
        <v>2612</v>
      </c>
      <c r="N139" s="179"/>
      <c r="O139" s="179"/>
    </row>
    <row r="140" spans="3:15" ht="15.75">
      <c r="C140" s="120">
        <v>41823</v>
      </c>
      <c r="D140" s="39">
        <v>1506.9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41822</v>
      </c>
      <c r="D141" s="39">
        <v>413.2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116438.31431</v>
      </c>
      <c r="E143" s="80"/>
      <c r="F143" s="100" t="s">
        <v>147</v>
      </c>
      <c r="G143" s="175" t="s">
        <v>149</v>
      </c>
      <c r="H143" s="175"/>
      <c r="I143" s="116">
        <v>102613.09234999999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36434.314379999996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5" t="s">
        <v>240</v>
      </c>
      <c r="L4" s="166"/>
      <c r="M4" s="204"/>
      <c r="N4" s="183" t="s">
        <v>247</v>
      </c>
      <c r="O4" s="185" t="s">
        <v>136</v>
      </c>
      <c r="P4" s="185" t="s">
        <v>135</v>
      </c>
      <c r="Q4" s="165" t="s">
        <v>242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2" sqref="D1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5" t="s">
        <v>231</v>
      </c>
      <c r="L4" s="166"/>
      <c r="M4" s="204"/>
      <c r="N4" s="183" t="s">
        <v>236</v>
      </c>
      <c r="O4" s="185" t="s">
        <v>136</v>
      </c>
      <c r="P4" s="185" t="s">
        <v>135</v>
      </c>
      <c r="Q4" s="165" t="s">
        <v>234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5" t="s">
        <v>219</v>
      </c>
      <c r="L4" s="166"/>
      <c r="M4" s="204"/>
      <c r="N4" s="183" t="s">
        <v>227</v>
      </c>
      <c r="O4" s="185" t="s">
        <v>136</v>
      </c>
      <c r="P4" s="185" t="s">
        <v>135</v>
      </c>
      <c r="Q4" s="165" t="s">
        <v>222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36434.314379999996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5" t="s">
        <v>196</v>
      </c>
      <c r="L4" s="166"/>
      <c r="M4" s="204"/>
      <c r="N4" s="183" t="s">
        <v>213</v>
      </c>
      <c r="O4" s="185" t="s">
        <v>136</v>
      </c>
      <c r="P4" s="185" t="s">
        <v>135</v>
      </c>
      <c r="Q4" s="165" t="s">
        <v>197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191</v>
      </c>
      <c r="F4" s="216" t="s">
        <v>116</v>
      </c>
      <c r="G4" s="218" t="s">
        <v>167</v>
      </c>
      <c r="H4" s="189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83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184</v>
      </c>
      <c r="L5" s="181"/>
      <c r="M5" s="213"/>
      <c r="N5" s="184"/>
      <c r="O5" s="221"/>
      <c r="P5" s="208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91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153</v>
      </c>
      <c r="F4" s="216" t="s">
        <v>116</v>
      </c>
      <c r="G4" s="218" t="s">
        <v>175</v>
      </c>
      <c r="H4" s="189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83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177</v>
      </c>
      <c r="L5" s="181"/>
      <c r="M5" s="192"/>
      <c r="N5" s="184"/>
      <c r="O5" s="221"/>
      <c r="P5" s="208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2014-07-07T11:52:10Z</cp:lastPrinted>
  <dcterms:created xsi:type="dcterms:W3CDTF">2003-07-28T11:27:56Z</dcterms:created>
  <dcterms:modified xsi:type="dcterms:W3CDTF">2014-07-07T12:35:15Z</dcterms:modified>
  <cp:category/>
  <cp:version/>
  <cp:contentType/>
  <cp:contentStatus/>
</cp:coreProperties>
</file>